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  <externalReference r:id="rId8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<sst xmlns="http://schemas.openxmlformats.org/spreadsheetml/2006/main" count="129" uniqueCount="104">
  <si>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</si>
  <si>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</si>
  <si>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</si>
  <si>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</si>
  <si>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</si>
  <si>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</si>
  <si>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</si>
  <si>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</si>
  <si>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</si>
  <si>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</si>
  <si>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</si>
  <si>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</si>
  <si>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</si>
  <si>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</si>
  <si>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</si>
  <si>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</si>
  <si>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</si>
  <si>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</si>
  <si>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</si>
  <si>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</si>
  <si>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</si>
  <si>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</si>
  <si>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</si>
  <si>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</si>
  <si>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</si>
  <si>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</si>
  <si>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</si>
  <si>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</si>
  <si>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</si>
  <si>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</si>
  <si>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</si>
  <si>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</si>
  <si>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</si>
  <si>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</si>
  <si>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</si>
  <si>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</si>
  <si>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</si>
  <si>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</si>
  <si>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</si>
  <si>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</si>
  <si>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</si>
  <si>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</si>
  <si>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</si>
  <si>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</si>
  <si>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</si>
  <si>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</si>
  <si>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</si>
  <si>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Ремонт и техническое обслуживание, в т.ч.</t>
  </si>
  <si>
    <t>2.1.</t>
  </si>
  <si>
    <t>Приложение № 1
к экспертному заключению 
по делу № 49-13в</t>
  </si>
  <si>
    <t>общества с ограниченной ответственностью «Чистый город» 
(г. Лесосибирск, ИНН 2454015837)</t>
  </si>
  <si>
    <t>Приложение № 3                                           к экспертному заключению по делу № 49-13в</t>
  </si>
  <si>
    <t>Тарифы на услуги по утилизации (захоронению) твердых бытовых отходов для потребителей общества с ограниченной ответственностью «Чистый город»  (г. Лесосибирск, ИНН 2454015837)</t>
  </si>
  <si>
    <t>Приложение № 2                                           к экспертному заключению по делу 
№ 49-13в</t>
  </si>
  <si>
    <t>общества с ограниченной ответственностью «Чистый город» (г. Лесосибирск, ИНН 2454015837)</t>
  </si>
  <si>
    <t>Прочие прямые расходы, связанные с утилизацией (захоронением) отходов, в том числе</t>
  </si>
  <si>
    <t>Топливо и ГСМ</t>
  </si>
  <si>
    <t>Транспортный налог</t>
  </si>
  <si>
    <t>Экологический мониторинг</t>
  </si>
  <si>
    <t>Арендная плата</t>
  </si>
  <si>
    <t>Содержание дороги к полигону ТБО</t>
  </si>
  <si>
    <t>Устранение локальных очагов пожара</t>
  </si>
  <si>
    <t>Расходы на оплату труда цехового персонала</t>
  </si>
  <si>
    <t xml:space="preserve">Расходы на оплату труда административно-управленческого персонала </t>
  </si>
  <si>
    <t>Численность цехового персонала, чел.</t>
  </si>
  <si>
    <t>Численность основного персонала, чел.</t>
  </si>
  <si>
    <t>Расходы на оплату труда ремонтного персонала</t>
  </si>
  <si>
    <t>Капитальный ремонт</t>
  </si>
  <si>
    <t>Общепроизводственные (цеховые расходы), в том числе</t>
  </si>
  <si>
    <t>Общехозяйственные (управленческие) расходы, в том числе</t>
  </si>
  <si>
    <t>Расходы, связанные с реализацией товаров (услуг)</t>
  </si>
  <si>
    <t>в том числе:</t>
  </si>
  <si>
    <t>1.2.1.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</si>
  <si>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</si>
  <si>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</si>
  <si>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</si>
  <si>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</si>
  <si>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</si>
  <si>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</si>
  <si>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</si>
  <si>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</si>
  <si>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</si>
  <si>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</si>
  <si>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</si>
  <si>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</si>
  <si>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</si>
  <si>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t>1.6.1.</t>
  </si>
  <si>
    <t>1.6.2.</t>
  </si>
  <si>
    <t>1.6.3.</t>
  </si>
  <si>
    <t>1.7.</t>
  </si>
  <si>
    <t>1.7.1.</t>
  </si>
  <si>
    <t>1.7.2.</t>
  </si>
  <si>
    <t>Итого расходов, связанных с производством и реализацией</t>
  </si>
  <si>
    <t>Прочие экономически обоснованные расходы относимые на прибыль после налогообложения</t>
  </si>
  <si>
    <t>Внереализационные расходы, в том числе:</t>
  </si>
  <si>
    <t>Единый налог, уплачиваемый организацией, применяющей упрощенную систему налогообложения</t>
  </si>
  <si>
    <t>Налоги и сборы, в том числе:</t>
  </si>
  <si>
    <t>2.2.</t>
  </si>
  <si>
    <t>2.2.1.</t>
  </si>
  <si>
    <t>Итого внереализационных расходов</t>
  </si>
  <si>
    <t>3.</t>
  </si>
  <si>
    <t>Объем финансовых потребностей по реализации производственной программы  организации коммунального комплекса</t>
  </si>
  <si>
    <t>Всего 2014-2016 годы</t>
  </si>
  <si>
    <t>Расходы на ремонт основных средств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</si>
</sst>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/>
      <protection/>
    </xf>
    <xf numFmtId="0" fontId="5" fillId="0" borderId="10" xfId="58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" fontId="1" fillId="0" borderId="11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 vertical="center"/>
      <protection/>
    </xf>
    <xf numFmtId="4" fontId="5" fillId="0" borderId="10" xfId="58" applyNumberFormat="1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/>
      <protection/>
    </xf>
    <xf numFmtId="4" fontId="5" fillId="0" borderId="11" xfId="58" applyNumberFormat="1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&#1054;%20&#1083;&#1077;&#1089;&#1086;&#1089;&#1080;&#1073;&#1080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БО"/>
      <sheetName val="Расчет расхода на ГСМ (2)"/>
      <sheetName val="Заработная плата"/>
      <sheetName val="Материалы"/>
      <sheetName val="Технология"/>
    </sheetNames>
    <sheetDataSet>
      <sheetData sheetId="0">
        <row r="13">
          <cell r="E13">
            <v>14.34</v>
          </cell>
          <cell r="F13">
            <v>15.01</v>
          </cell>
          <cell r="G13">
            <v>15.72</v>
          </cell>
          <cell r="H13">
            <v>6.85</v>
          </cell>
          <cell r="I13">
            <v>14.47</v>
          </cell>
          <cell r="J13">
            <v>15.15</v>
          </cell>
          <cell r="K13">
            <v>7.93</v>
          </cell>
        </row>
        <row r="14">
          <cell r="E14">
            <v>2115.48</v>
          </cell>
          <cell r="F14">
            <v>2214.91</v>
          </cell>
          <cell r="G14">
            <v>2319.01</v>
          </cell>
          <cell r="H14">
            <v>705.9170329379999</v>
          </cell>
          <cell r="I14">
            <v>1500.7473936000001</v>
          </cell>
          <cell r="J14">
            <v>1571.2825210991996</v>
          </cell>
          <cell r="K14">
            <v>822.566399795431</v>
          </cell>
        </row>
        <row r="15">
          <cell r="E15">
            <v>11.1</v>
          </cell>
          <cell r="H15">
            <v>7.1</v>
          </cell>
        </row>
        <row r="19">
          <cell r="E19">
            <v>638.88</v>
          </cell>
          <cell r="F19">
            <v>668.9</v>
          </cell>
          <cell r="G19">
            <v>700.34</v>
          </cell>
          <cell r="H19">
            <v>213.19</v>
          </cell>
          <cell r="I19">
            <v>453.23</v>
          </cell>
          <cell r="J19">
            <v>474.53</v>
          </cell>
          <cell r="K19">
            <v>248.42</v>
          </cell>
        </row>
        <row r="23">
          <cell r="E23">
            <v>79.09</v>
          </cell>
          <cell r="F23">
            <v>82.81</v>
          </cell>
          <cell r="G23">
            <v>86.7</v>
          </cell>
          <cell r="H23">
            <v>0</v>
          </cell>
        </row>
        <row r="24">
          <cell r="E24">
            <v>314.82</v>
          </cell>
          <cell r="F24">
            <v>329.62</v>
          </cell>
          <cell r="G24">
            <v>345.11</v>
          </cell>
          <cell r="H24">
            <v>149.631045174</v>
          </cell>
          <cell r="I24">
            <v>318.10877280000005</v>
          </cell>
          <cell r="J24">
            <v>333.05988512159996</v>
          </cell>
          <cell r="K24">
            <v>174.35684986115757</v>
          </cell>
        </row>
        <row r="28">
          <cell r="E28">
            <v>95.08</v>
          </cell>
          <cell r="F28">
            <v>99.54</v>
          </cell>
          <cell r="G28">
            <v>104.22</v>
          </cell>
          <cell r="H28">
            <v>45.19</v>
          </cell>
          <cell r="I28">
            <v>96.07</v>
          </cell>
          <cell r="J28">
            <v>100.58</v>
          </cell>
          <cell r="K28">
            <v>52.66</v>
          </cell>
        </row>
        <row r="29">
          <cell r="E29">
            <v>2325.15</v>
          </cell>
          <cell r="F29">
            <v>2437.12</v>
          </cell>
          <cell r="G29">
            <v>2551.66</v>
          </cell>
          <cell r="H29">
            <v>1080.8190398964</v>
          </cell>
          <cell r="I29">
            <v>2226.4872221865835</v>
          </cell>
          <cell r="J29">
            <v>2331.132121629353</v>
          </cell>
          <cell r="K29">
            <v>1220.3476656729663</v>
          </cell>
        </row>
        <row r="31">
          <cell r="E31">
            <v>21.2</v>
          </cell>
          <cell r="F31">
            <v>21.2</v>
          </cell>
        </row>
        <row r="32">
          <cell r="E32">
            <v>546.49</v>
          </cell>
          <cell r="F32">
            <v>595.32</v>
          </cell>
          <cell r="G32">
            <v>624.69</v>
          </cell>
          <cell r="H32">
            <v>273.245</v>
          </cell>
          <cell r="I32">
            <v>577.09344</v>
          </cell>
          <cell r="J32">
            <v>604.2168316799999</v>
          </cell>
          <cell r="K32">
            <v>316.30751138447994</v>
          </cell>
        </row>
        <row r="33">
          <cell r="E33">
            <v>0.42</v>
          </cell>
        </row>
        <row r="34">
          <cell r="E34">
            <v>61.5</v>
          </cell>
          <cell r="F34">
            <v>64.39</v>
          </cell>
          <cell r="G34">
            <v>67.42</v>
          </cell>
          <cell r="H34">
            <v>30.75</v>
          </cell>
          <cell r="I34">
            <v>64.944</v>
          </cell>
          <cell r="J34">
            <v>67.996368</v>
          </cell>
          <cell r="K34">
            <v>35.596098648</v>
          </cell>
        </row>
        <row r="35">
          <cell r="E35">
            <v>120.58</v>
          </cell>
          <cell r="F35">
            <v>126.25</v>
          </cell>
          <cell r="G35">
            <v>132.18</v>
          </cell>
          <cell r="H35">
            <v>60.29</v>
          </cell>
          <cell r="I35">
            <v>127.33</v>
          </cell>
          <cell r="J35">
            <v>133.31</v>
          </cell>
          <cell r="K35">
            <v>44.03</v>
          </cell>
        </row>
        <row r="38">
          <cell r="E38">
            <v>532.27</v>
          </cell>
          <cell r="F38">
            <v>557.29</v>
          </cell>
          <cell r="G38">
            <v>583.48</v>
          </cell>
          <cell r="H38">
            <v>552.5414671139999</v>
          </cell>
          <cell r="I38">
            <v>1174.6779408</v>
          </cell>
          <cell r="J38">
            <v>1229.8878040176</v>
          </cell>
          <cell r="K38">
            <v>643.8462654032135</v>
          </cell>
        </row>
        <row r="39">
          <cell r="E39">
            <v>1.7</v>
          </cell>
          <cell r="H39">
            <v>5.7</v>
          </cell>
        </row>
        <row r="42">
          <cell r="E42">
            <v>160.75</v>
          </cell>
          <cell r="F42">
            <v>168.3</v>
          </cell>
          <cell r="G42">
            <v>176.21</v>
          </cell>
          <cell r="H42">
            <v>166.87</v>
          </cell>
          <cell r="I42">
            <v>354.75</v>
          </cell>
          <cell r="J42">
            <v>371.43</v>
          </cell>
          <cell r="K42">
            <v>194.44</v>
          </cell>
        </row>
        <row r="45">
          <cell r="E45">
            <v>384.22</v>
          </cell>
          <cell r="F45">
            <v>402.28</v>
          </cell>
          <cell r="G45">
            <v>421.19</v>
          </cell>
          <cell r="H45">
            <v>192.11</v>
          </cell>
          <cell r="I45">
            <v>408.43</v>
          </cell>
          <cell r="J45">
            <v>427.63</v>
          </cell>
          <cell r="K45">
            <v>223.86</v>
          </cell>
        </row>
        <row r="48">
          <cell r="E48">
            <v>116.03</v>
          </cell>
          <cell r="F48">
            <v>121.49</v>
          </cell>
          <cell r="G48">
            <v>127.2</v>
          </cell>
          <cell r="H48">
            <v>58.02</v>
          </cell>
          <cell r="I48">
            <v>123.35</v>
          </cell>
          <cell r="J48">
            <v>129.14</v>
          </cell>
          <cell r="K48">
            <v>67.61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workbookViewId="0" topLeftCell="A1">
      <selection activeCell="B18" sqref="B18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40"/>
      <c r="B1" s="40"/>
      <c r="C1" s="40"/>
      <c r="D1" s="45" t="s">
        <v>49</v>
      </c>
      <c r="E1" s="46"/>
      <c r="F1" s="46"/>
    </row>
    <row r="2" spans="1:6" ht="30" customHeight="1">
      <c r="A2" s="40"/>
      <c r="B2" s="40"/>
      <c r="C2" s="40"/>
      <c r="D2" s="40"/>
      <c r="E2" s="40"/>
      <c r="F2" s="41"/>
    </row>
    <row r="3" spans="1:7" ht="20.25" customHeight="1">
      <c r="A3" s="43" t="s">
        <v>35</v>
      </c>
      <c r="B3" s="43"/>
      <c r="C3" s="43"/>
      <c r="D3" s="43"/>
      <c r="E3" s="43"/>
      <c r="F3" s="43"/>
      <c r="G3" s="15" t="s">
        <v>15</v>
      </c>
    </row>
    <row r="4" spans="1:9" ht="38.25" customHeight="1">
      <c r="A4" s="44" t="s">
        <v>50</v>
      </c>
      <c r="B4" s="44"/>
      <c r="C4" s="44"/>
      <c r="D4" s="44"/>
      <c r="E4" s="44"/>
      <c r="F4" s="44"/>
      <c r="G4" s="1"/>
      <c r="H4" s="1"/>
      <c r="I4" s="1"/>
    </row>
    <row r="5" spans="1:6" ht="18.75">
      <c r="A5" s="40"/>
      <c r="B5" s="40"/>
      <c r="C5" s="40"/>
      <c r="D5" s="40"/>
      <c r="E5" s="40"/>
      <c r="F5" s="41"/>
    </row>
    <row r="6" spans="1:6" ht="36" customHeight="1">
      <c r="A6" s="47" t="s">
        <v>6</v>
      </c>
      <c r="B6" s="47" t="s">
        <v>7</v>
      </c>
      <c r="C6" s="47" t="s">
        <v>8</v>
      </c>
      <c r="D6" s="49" t="s">
        <v>36</v>
      </c>
      <c r="E6" s="50"/>
      <c r="F6" s="51"/>
    </row>
    <row r="7" spans="1:6" ht="15.75">
      <c r="A7" s="48"/>
      <c r="B7" s="48"/>
      <c r="C7" s="48"/>
      <c r="D7" s="38" t="s">
        <v>16</v>
      </c>
      <c r="E7" s="38" t="s">
        <v>17</v>
      </c>
      <c r="F7" s="38" t="s">
        <v>37</v>
      </c>
    </row>
    <row r="8" spans="1:6" ht="33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ht="47.25" customHeight="1">
      <c r="A9" s="38">
        <v>1</v>
      </c>
      <c r="B9" s="39" t="s">
        <v>38</v>
      </c>
      <c r="C9" s="38" t="s">
        <v>39</v>
      </c>
      <c r="D9" s="20">
        <v>114.5</v>
      </c>
      <c r="E9" s="20">
        <v>114.5</v>
      </c>
      <c r="F9" s="20">
        <v>114.5</v>
      </c>
    </row>
    <row r="10" spans="1:6" ht="36" customHeight="1">
      <c r="A10" s="38" t="s">
        <v>1</v>
      </c>
      <c r="B10" s="39" t="s">
        <v>40</v>
      </c>
      <c r="C10" s="38" t="s">
        <v>39</v>
      </c>
      <c r="D10" s="20">
        <v>86.6</v>
      </c>
      <c r="E10" s="20">
        <v>86.6</v>
      </c>
      <c r="F10" s="20">
        <v>86.6</v>
      </c>
    </row>
    <row r="11" spans="1:6" ht="15.75">
      <c r="A11" s="38" t="s">
        <v>2</v>
      </c>
      <c r="B11" s="39" t="s">
        <v>41</v>
      </c>
      <c r="C11" s="38" t="s">
        <v>39</v>
      </c>
      <c r="D11" s="20">
        <v>8</v>
      </c>
      <c r="E11" s="20">
        <v>8</v>
      </c>
      <c r="F11" s="20">
        <v>8</v>
      </c>
    </row>
    <row r="12" spans="1:6" ht="15.75">
      <c r="A12" s="38" t="s">
        <v>42</v>
      </c>
      <c r="B12" s="39" t="s">
        <v>43</v>
      </c>
      <c r="C12" s="38" t="s">
        <v>39</v>
      </c>
      <c r="D12" s="20">
        <v>19.9</v>
      </c>
      <c r="E12" s="20">
        <v>19.9</v>
      </c>
      <c r="F12" s="20">
        <v>19.9</v>
      </c>
    </row>
    <row r="13" spans="1:6" ht="31.5">
      <c r="A13" s="38">
        <v>2</v>
      </c>
      <c r="B13" s="39" t="s">
        <v>20</v>
      </c>
      <c r="C13" s="38" t="s">
        <v>44</v>
      </c>
      <c r="D13" s="20">
        <v>56100</v>
      </c>
      <c r="E13" s="20">
        <v>56100</v>
      </c>
      <c r="F13" s="20">
        <v>56100</v>
      </c>
    </row>
    <row r="14" spans="1:6" ht="31.5">
      <c r="A14" s="38">
        <v>3</v>
      </c>
      <c r="B14" s="39" t="s">
        <v>18</v>
      </c>
      <c r="C14" s="37" t="s">
        <v>39</v>
      </c>
      <c r="D14" s="20">
        <v>158.4</v>
      </c>
      <c r="E14" s="20">
        <v>158.4</v>
      </c>
      <c r="F14" s="20">
        <v>158.4</v>
      </c>
    </row>
    <row r="15" spans="1:6" ht="31.5">
      <c r="A15" s="38">
        <v>4</v>
      </c>
      <c r="B15" s="39" t="s">
        <v>19</v>
      </c>
      <c r="C15" s="37" t="s">
        <v>39</v>
      </c>
      <c r="D15" s="20">
        <v>0</v>
      </c>
      <c r="E15" s="20">
        <v>0</v>
      </c>
      <c r="F15" s="20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41"/>
  <sheetViews>
    <sheetView tabSelected="1" workbookViewId="0" topLeftCell="A2">
      <selection activeCell="M21" sqref="M21"/>
    </sheetView>
  </sheetViews>
  <sheetFormatPr defaultColWidth="9.140625" defaultRowHeight="12.75"/>
  <cols>
    <col min="1" max="1" width="8.1406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10.8515625" style="3" customWidth="1"/>
    <col min="13" max="13" width="11.28125" style="3" customWidth="1"/>
    <col min="14" max="14" width="14.421875" style="3" customWidth="1"/>
    <col min="15" max="16384" width="9.140625" style="3" customWidth="1"/>
  </cols>
  <sheetData>
    <row r="1" ht="15.75" hidden="1"/>
    <row r="2" spans="2:11" ht="54.75" customHeight="1">
      <c r="B2" s="16"/>
      <c r="C2" s="53"/>
      <c r="D2" s="53"/>
      <c r="E2" s="53"/>
      <c r="F2" s="19"/>
      <c r="G2" s="19"/>
      <c r="H2" s="53" t="s">
        <v>53</v>
      </c>
      <c r="I2" s="53"/>
      <c r="J2" s="53"/>
      <c r="K2" s="53"/>
    </row>
    <row r="3" spans="1:4" ht="18.75">
      <c r="A3" s="5"/>
      <c r="B3" s="5"/>
      <c r="C3" s="6"/>
      <c r="D3" s="6"/>
    </row>
    <row r="4" spans="1:12" ht="19.5" customHeight="1">
      <c r="A4" s="54" t="s">
        <v>10</v>
      </c>
      <c r="B4" s="54"/>
      <c r="C4" s="54"/>
      <c r="D4" s="54"/>
      <c r="E4" s="54"/>
      <c r="F4" s="55"/>
      <c r="G4" s="55"/>
      <c r="H4" s="55"/>
      <c r="I4" s="55"/>
      <c r="J4" s="55"/>
      <c r="K4" s="55"/>
      <c r="L4" s="15" t="s">
        <v>25</v>
      </c>
    </row>
    <row r="5" spans="1:11" ht="19.5" customHeight="1">
      <c r="A5" s="44" t="s">
        <v>54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4" ht="17.25" customHeight="1">
      <c r="A7" s="52" t="s">
        <v>6</v>
      </c>
      <c r="B7" s="52" t="s">
        <v>0</v>
      </c>
      <c r="C7" s="52" t="s">
        <v>21</v>
      </c>
      <c r="D7" s="52"/>
      <c r="E7" s="52"/>
      <c r="F7" s="52" t="s">
        <v>23</v>
      </c>
      <c r="G7" s="52"/>
      <c r="H7" s="52"/>
      <c r="I7" s="52" t="s">
        <v>22</v>
      </c>
      <c r="J7" s="52"/>
      <c r="K7" s="52"/>
      <c r="L7" s="67" t="s">
        <v>102</v>
      </c>
      <c r="M7" s="67"/>
      <c r="N7" s="67"/>
    </row>
    <row r="8" spans="1:14" ht="68.25" customHeight="1">
      <c r="A8" s="52"/>
      <c r="B8" s="52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  <c r="L8" s="8" t="s">
        <v>9</v>
      </c>
      <c r="M8" s="8" t="s">
        <v>3</v>
      </c>
      <c r="N8" s="9" t="s">
        <v>4</v>
      </c>
    </row>
    <row r="9" spans="1:14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ht="47.25">
      <c r="A10" s="9">
        <v>1</v>
      </c>
      <c r="B10" s="6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4"/>
      <c r="M10" s="64"/>
      <c r="N10" s="64"/>
    </row>
    <row r="11" spans="1:14" ht="15.75">
      <c r="A11" s="9"/>
      <c r="B11" s="61" t="s">
        <v>71</v>
      </c>
      <c r="C11" s="60"/>
      <c r="D11" s="60"/>
      <c r="E11" s="60"/>
      <c r="F11" s="60"/>
      <c r="G11" s="60"/>
      <c r="H11" s="60"/>
      <c r="I11" s="60"/>
      <c r="J11" s="60"/>
      <c r="K11" s="60"/>
      <c r="L11" s="64"/>
      <c r="M11" s="64"/>
      <c r="N11" s="64"/>
    </row>
    <row r="12" spans="1:14" ht="37.5" customHeight="1">
      <c r="A12" s="62" t="s">
        <v>1</v>
      </c>
      <c r="B12" s="13" t="s">
        <v>24</v>
      </c>
      <c r="C12" s="21">
        <f>'[2]Расчет ТБО'!$E$13</f>
        <v>14.34</v>
      </c>
      <c r="D12" s="21">
        <f>'[2]Расчет ТБО'!$H$13+'[2]Расчет ТБО'!$I$13/2</f>
        <v>14.085</v>
      </c>
      <c r="E12" s="21">
        <f>C12-D12</f>
        <v>0.254999999999999</v>
      </c>
      <c r="F12" s="21">
        <f>'[2]Расчет ТБО'!$F$13</f>
        <v>15.01</v>
      </c>
      <c r="G12" s="21">
        <f>'[2]Расчет ТБО'!$I$13/2+'[2]Расчет ТБО'!$J$13/2</f>
        <v>14.81</v>
      </c>
      <c r="H12" s="21">
        <f>F12-G12</f>
        <v>0.1999999999999993</v>
      </c>
      <c r="I12" s="21">
        <f>'[2]Расчет ТБО'!$G$13</f>
        <v>15.72</v>
      </c>
      <c r="J12" s="21">
        <f>'[2]Расчет ТБО'!$J$13/2+'[2]Расчет ТБО'!$K$13</f>
        <v>15.504999999999999</v>
      </c>
      <c r="K12" s="21">
        <f>I12-J12</f>
        <v>0.21500000000000163</v>
      </c>
      <c r="L12" s="66">
        <f>C12+F12+I12</f>
        <v>45.07</v>
      </c>
      <c r="M12" s="66">
        <f>D12+G12+J12</f>
        <v>44.400000000000006</v>
      </c>
      <c r="N12" s="66">
        <f>L12-M12</f>
        <v>0.6699999999999946</v>
      </c>
    </row>
    <row r="13" spans="1:14" ht="31.5">
      <c r="A13" s="14" t="s">
        <v>2</v>
      </c>
      <c r="B13" s="12" t="s">
        <v>45</v>
      </c>
      <c r="C13" s="22">
        <f>'[2]Расчет ТБО'!$E$14</f>
        <v>2115.48</v>
      </c>
      <c r="D13" s="22">
        <f>'[2]Расчет ТБО'!$H$14+'[2]Расчет ТБО'!$I$14/2</f>
        <v>1456.290729738</v>
      </c>
      <c r="E13" s="21">
        <f aca="true" t="shared" si="0" ref="E13:E34">C13-D13</f>
        <v>659.189270262</v>
      </c>
      <c r="F13" s="22">
        <f>'[2]Расчет ТБО'!$F$14</f>
        <v>2214.91</v>
      </c>
      <c r="G13" s="22">
        <f>'[2]Расчет ТБО'!$I$14/2+'[2]Расчет ТБО'!$J$14/2</f>
        <v>1536.0149573495999</v>
      </c>
      <c r="H13" s="21">
        <f aca="true" t="shared" si="1" ref="H13:H34">F13-G13</f>
        <v>678.8950426504</v>
      </c>
      <c r="I13" s="22">
        <f>'[2]Расчет ТБО'!$G$14</f>
        <v>2319.01</v>
      </c>
      <c r="J13" s="22">
        <f>'[2]Расчет ТБО'!$J$14/2+'[2]Расчет ТБО'!$K$14</f>
        <v>1608.207660345031</v>
      </c>
      <c r="K13" s="21">
        <f aca="true" t="shared" si="2" ref="K13:K34">I13-J13</f>
        <v>710.8023396549693</v>
      </c>
      <c r="L13" s="66">
        <f aca="true" t="shared" si="3" ref="L13:L41">C13+F13+I13</f>
        <v>6649.4</v>
      </c>
      <c r="M13" s="66">
        <f aca="true" t="shared" si="4" ref="M13:M41">D13+G13+J13</f>
        <v>4600.51334743263</v>
      </c>
      <c r="N13" s="66">
        <f aca="true" t="shared" si="5" ref="N13:N41">L13-M13</f>
        <v>2048.8866525673693</v>
      </c>
    </row>
    <row r="14" spans="1:14" ht="31.5">
      <c r="A14" s="14" t="s">
        <v>72</v>
      </c>
      <c r="B14" s="12" t="s">
        <v>65</v>
      </c>
      <c r="C14" s="22">
        <f>'[2]Расчет ТБО'!$E$15</f>
        <v>11.1</v>
      </c>
      <c r="D14" s="22">
        <f>'[2]Расчет ТБО'!$H$15</f>
        <v>7.1</v>
      </c>
      <c r="E14" s="21">
        <f t="shared" si="0"/>
        <v>4</v>
      </c>
      <c r="F14" s="22">
        <f>C14</f>
        <v>11.1</v>
      </c>
      <c r="G14" s="22">
        <f>D14</f>
        <v>7.1</v>
      </c>
      <c r="H14" s="21">
        <f t="shared" si="1"/>
        <v>4</v>
      </c>
      <c r="I14" s="22">
        <f>7.1</f>
        <v>7.1</v>
      </c>
      <c r="J14" s="22">
        <f>H14</f>
        <v>4</v>
      </c>
      <c r="K14" s="21">
        <f t="shared" si="2"/>
        <v>3.0999999999999996</v>
      </c>
      <c r="L14" s="66">
        <f t="shared" si="3"/>
        <v>29.299999999999997</v>
      </c>
      <c r="M14" s="66">
        <f t="shared" si="4"/>
        <v>18.2</v>
      </c>
      <c r="N14" s="66">
        <f t="shared" si="5"/>
        <v>11.099999999999998</v>
      </c>
    </row>
    <row r="15" spans="1:14" ht="31.5">
      <c r="A15" s="14" t="s">
        <v>42</v>
      </c>
      <c r="B15" s="13" t="s">
        <v>46</v>
      </c>
      <c r="C15" s="22">
        <f>'[2]Расчет ТБО'!$E$19</f>
        <v>638.88</v>
      </c>
      <c r="D15" s="22">
        <f>'[2]Расчет ТБО'!$H$19+'[2]Расчет ТБО'!$I$19/2</f>
        <v>439.805</v>
      </c>
      <c r="E15" s="21">
        <f t="shared" si="0"/>
        <v>199.075</v>
      </c>
      <c r="F15" s="22">
        <f>'[2]Расчет ТБО'!$F$19</f>
        <v>668.9</v>
      </c>
      <c r="G15" s="22">
        <f>'[2]Расчет ТБО'!$I$19/2+'[2]Расчет ТБО'!$J$19/2</f>
        <v>463.88</v>
      </c>
      <c r="H15" s="21">
        <f t="shared" si="1"/>
        <v>205.01999999999998</v>
      </c>
      <c r="I15" s="22">
        <f>'[2]Расчет ТБО'!$G$19</f>
        <v>700.34</v>
      </c>
      <c r="J15" s="22">
        <f>'[2]Расчет ТБО'!$J$19/2+'[2]Расчет ТБО'!$K$19</f>
        <v>485.68499999999995</v>
      </c>
      <c r="K15" s="21">
        <f t="shared" si="2"/>
        <v>214.6550000000001</v>
      </c>
      <c r="L15" s="66">
        <f t="shared" si="3"/>
        <v>2008.12</v>
      </c>
      <c r="M15" s="66">
        <f t="shared" si="4"/>
        <v>1389.37</v>
      </c>
      <c r="N15" s="66">
        <f t="shared" si="5"/>
        <v>618.75</v>
      </c>
    </row>
    <row r="16" spans="1:14" ht="31.5">
      <c r="A16" s="14" t="s">
        <v>73</v>
      </c>
      <c r="B16" s="12" t="s">
        <v>47</v>
      </c>
      <c r="C16" s="22">
        <f>C17+C18+C19+C20</f>
        <v>488.99</v>
      </c>
      <c r="D16" s="23">
        <f>ROUND(D17+D18,3)</f>
        <v>401.91</v>
      </c>
      <c r="E16" s="21">
        <f t="shared" si="0"/>
        <v>87.07999999999998</v>
      </c>
      <c r="F16" s="18">
        <f>ROUND(F17+F18+F19+F20,2)</f>
        <v>511.97</v>
      </c>
      <c r="G16" s="23">
        <f>ROUND(G17+G18+G19+G20,2)</f>
        <v>423.91</v>
      </c>
      <c r="H16" s="21">
        <f t="shared" si="1"/>
        <v>88.06</v>
      </c>
      <c r="I16" s="18">
        <f>I17+I18+I19</f>
        <v>536.0300000000001</v>
      </c>
      <c r="J16" s="18">
        <f>J17+J18+J19</f>
        <v>443.83679242195757</v>
      </c>
      <c r="K16" s="21">
        <f t="shared" si="2"/>
        <v>92.19320757804252</v>
      </c>
      <c r="L16" s="66">
        <f t="shared" si="3"/>
        <v>1536.9900000000002</v>
      </c>
      <c r="M16" s="66">
        <f t="shared" si="4"/>
        <v>1269.6567924219576</v>
      </c>
      <c r="N16" s="66">
        <f t="shared" si="5"/>
        <v>267.3332075780427</v>
      </c>
    </row>
    <row r="17" spans="1:14" ht="31.5">
      <c r="A17" s="14" t="s">
        <v>74</v>
      </c>
      <c r="B17" s="12" t="s">
        <v>66</v>
      </c>
      <c r="C17" s="22">
        <f>'[2]Расчет ТБО'!$E$24</f>
        <v>314.82</v>
      </c>
      <c r="D17" s="23">
        <f>'[2]Расчет ТБО'!$H$24+'[2]Расчет ТБО'!$I$24/2</f>
        <v>308.68543157400006</v>
      </c>
      <c r="E17" s="21">
        <f t="shared" si="0"/>
        <v>6.13456842599993</v>
      </c>
      <c r="F17" s="18">
        <f>'[2]Расчет ТБО'!$F$24</f>
        <v>329.62</v>
      </c>
      <c r="G17" s="23">
        <f>'[2]Расчет ТБО'!$I$24/2+'[2]Расчет ТБО'!$J$24/2</f>
        <v>325.5843289608</v>
      </c>
      <c r="H17" s="21">
        <f t="shared" si="1"/>
        <v>4.035671039199997</v>
      </c>
      <c r="I17" s="18">
        <f>'[2]Расчет ТБО'!$G$24</f>
        <v>345.11</v>
      </c>
      <c r="J17" s="23">
        <f>'[2]Расчет ТБО'!$J$24/2+'[2]Расчет ТБО'!$K$24</f>
        <v>340.8867924219576</v>
      </c>
      <c r="K17" s="21">
        <f t="shared" si="2"/>
        <v>4.223207578042434</v>
      </c>
      <c r="L17" s="66">
        <f t="shared" si="3"/>
        <v>989.5500000000001</v>
      </c>
      <c r="M17" s="66">
        <f t="shared" si="4"/>
        <v>975.1565529567577</v>
      </c>
      <c r="N17" s="66">
        <f t="shared" si="5"/>
        <v>14.393447043242418</v>
      </c>
    </row>
    <row r="18" spans="1:14" ht="31.5">
      <c r="A18" s="14" t="s">
        <v>75</v>
      </c>
      <c r="B18" s="13" t="s">
        <v>46</v>
      </c>
      <c r="C18" s="22">
        <f>'[2]Расчет ТБО'!$E$28</f>
        <v>95.08</v>
      </c>
      <c r="D18" s="23">
        <f>'[2]Расчет ТБО'!$H$28+'[2]Расчет ТБО'!$I$28/2</f>
        <v>93.225</v>
      </c>
      <c r="E18" s="21">
        <f t="shared" si="0"/>
        <v>1.855000000000004</v>
      </c>
      <c r="F18" s="18">
        <f>'[2]Расчет ТБО'!$F$28</f>
        <v>99.54</v>
      </c>
      <c r="G18" s="23">
        <f>'[2]Расчет ТБО'!$I$28/2+'[2]Расчет ТБО'!$J$28/2</f>
        <v>98.32499999999999</v>
      </c>
      <c r="H18" s="21">
        <f t="shared" si="1"/>
        <v>1.2150000000000176</v>
      </c>
      <c r="I18" s="18">
        <f>'[2]Расчет ТБО'!$G$28</f>
        <v>104.22</v>
      </c>
      <c r="J18" s="23">
        <f>'[2]Расчет ТБО'!$J$28/2+'[2]Расчет ТБО'!$K$28</f>
        <v>102.94999999999999</v>
      </c>
      <c r="K18" s="21">
        <f t="shared" si="2"/>
        <v>1.2700000000000102</v>
      </c>
      <c r="L18" s="66">
        <f t="shared" si="3"/>
        <v>298.84000000000003</v>
      </c>
      <c r="M18" s="66">
        <f t="shared" si="4"/>
        <v>294.5</v>
      </c>
      <c r="N18" s="66">
        <f t="shared" si="5"/>
        <v>4.340000000000032</v>
      </c>
    </row>
    <row r="19" spans="1:14" ht="31.5">
      <c r="A19" s="14" t="s">
        <v>76</v>
      </c>
      <c r="B19" s="12" t="s">
        <v>103</v>
      </c>
      <c r="C19" s="22">
        <f>'[2]Расчет ТБО'!$E$23</f>
        <v>79.09</v>
      </c>
      <c r="D19" s="23">
        <f>'[2]Расчет ТБО'!$H$23</f>
        <v>0</v>
      </c>
      <c r="E19" s="21">
        <f t="shared" si="0"/>
        <v>79.09</v>
      </c>
      <c r="F19" s="18">
        <f>'[2]Расчет ТБО'!$F$23</f>
        <v>82.81</v>
      </c>
      <c r="G19" s="23">
        <f>0</f>
        <v>0</v>
      </c>
      <c r="H19" s="21">
        <f t="shared" si="1"/>
        <v>82.81</v>
      </c>
      <c r="I19" s="18">
        <f>'[2]Расчет ТБО'!$G$23</f>
        <v>86.7</v>
      </c>
      <c r="J19" s="23">
        <v>0</v>
      </c>
      <c r="K19" s="21">
        <f t="shared" si="2"/>
        <v>86.7</v>
      </c>
      <c r="L19" s="66">
        <f t="shared" si="3"/>
        <v>248.60000000000002</v>
      </c>
      <c r="M19" s="66">
        <f t="shared" si="4"/>
        <v>0</v>
      </c>
      <c r="N19" s="66">
        <f t="shared" si="5"/>
        <v>248.60000000000002</v>
      </c>
    </row>
    <row r="20" spans="1:14" ht="15.75">
      <c r="A20" s="14" t="s">
        <v>77</v>
      </c>
      <c r="B20" s="12" t="s">
        <v>67</v>
      </c>
      <c r="C20" s="22">
        <f>0</f>
        <v>0</v>
      </c>
      <c r="D20" s="22">
        <f>C20:D20</f>
        <v>0</v>
      </c>
      <c r="E20" s="21">
        <v>0</v>
      </c>
      <c r="F20" s="18">
        <v>0</v>
      </c>
      <c r="G20" s="23">
        <v>0</v>
      </c>
      <c r="H20" s="21">
        <f t="shared" si="1"/>
        <v>0</v>
      </c>
      <c r="I20" s="18">
        <v>0</v>
      </c>
      <c r="J20" s="23">
        <v>0</v>
      </c>
      <c r="K20" s="21">
        <f t="shared" si="2"/>
        <v>0</v>
      </c>
      <c r="L20" s="66">
        <f t="shared" si="3"/>
        <v>0</v>
      </c>
      <c r="M20" s="66">
        <v>0</v>
      </c>
      <c r="N20" s="66">
        <f t="shared" si="5"/>
        <v>0</v>
      </c>
    </row>
    <row r="21" spans="1:14" ht="66" customHeight="1">
      <c r="A21" s="14" t="s">
        <v>78</v>
      </c>
      <c r="B21" s="12" t="s">
        <v>55</v>
      </c>
      <c r="C21" s="22">
        <f>ROUND(C22+C23+C24+C25+C26+C27,2)</f>
        <v>3075.34</v>
      </c>
      <c r="D21" s="22">
        <f>ROUND(D22+D23+D24+D25+D26+D27,2)</f>
        <v>2943.03</v>
      </c>
      <c r="E21" s="21">
        <f t="shared" si="0"/>
        <v>132.30999999999995</v>
      </c>
      <c r="F21" s="18">
        <f>ROUND(F22+F23+F24+F25+F26+F27,2)</f>
        <v>3244.7</v>
      </c>
      <c r="G21" s="18">
        <f>ROUND(G22+G23+G24+G25+G26+G27,2)</f>
        <v>3066.25</v>
      </c>
      <c r="H21" s="21">
        <f t="shared" si="1"/>
        <v>178.44999999999982</v>
      </c>
      <c r="I21" s="18">
        <f>ROUND(I22+I23+I24+I25+I26+I27,2)</f>
        <v>3397.57</v>
      </c>
      <c r="J21" s="18">
        <f>ROUND(J22+J23+J24+J25+J26+J27,2)</f>
        <v>3184.61</v>
      </c>
      <c r="K21" s="21">
        <f t="shared" si="2"/>
        <v>212.96000000000004</v>
      </c>
      <c r="L21" s="66">
        <f t="shared" si="3"/>
        <v>9717.61</v>
      </c>
      <c r="M21" s="66">
        <f t="shared" si="4"/>
        <v>9193.890000000001</v>
      </c>
      <c r="N21" s="66">
        <f t="shared" si="5"/>
        <v>523.7199999999993</v>
      </c>
    </row>
    <row r="22" spans="1:14" ht="15.75">
      <c r="A22" s="14" t="s">
        <v>79</v>
      </c>
      <c r="B22" s="12" t="s">
        <v>56</v>
      </c>
      <c r="C22" s="22">
        <f>'[2]Расчет ТБО'!$E$29</f>
        <v>2325.15</v>
      </c>
      <c r="D22" s="22">
        <f>'[2]Расчет ТБО'!$H$29+'[2]Расчет ТБО'!$I$29/2</f>
        <v>2194.062650989692</v>
      </c>
      <c r="E22" s="21">
        <f t="shared" si="0"/>
        <v>131.08734901030812</v>
      </c>
      <c r="F22" s="18">
        <f>'[2]Расчет ТБО'!$F$29</f>
        <v>2437.12</v>
      </c>
      <c r="G22" s="23">
        <f>'[2]Расчет ТБО'!$I$29/2+'[2]Расчет ТБО'!$J$29/2</f>
        <v>2278.8096719079685</v>
      </c>
      <c r="H22" s="21">
        <f t="shared" si="1"/>
        <v>158.31032809203134</v>
      </c>
      <c r="I22" s="18">
        <f>'[2]Расчет ТБО'!$G$29</f>
        <v>2551.66</v>
      </c>
      <c r="J22" s="23">
        <f>'[2]Расчет ТБО'!$J$29/2+'[2]Расчет ТБО'!$K$29</f>
        <v>2385.9137264876426</v>
      </c>
      <c r="K22" s="21">
        <f t="shared" si="2"/>
        <v>165.74627351235722</v>
      </c>
      <c r="L22" s="66">
        <f t="shared" si="3"/>
        <v>7313.93</v>
      </c>
      <c r="M22" s="66">
        <f t="shared" si="4"/>
        <v>6858.786049385303</v>
      </c>
      <c r="N22" s="66">
        <f t="shared" si="5"/>
        <v>455.14395061469713</v>
      </c>
    </row>
    <row r="23" spans="1:14" ht="15.75">
      <c r="A23" s="14" t="s">
        <v>80</v>
      </c>
      <c r="B23" s="12" t="s">
        <v>57</v>
      </c>
      <c r="C23" s="22">
        <f>'[2]Расчет ТБО'!$E$31</f>
        <v>21.2</v>
      </c>
      <c r="D23" s="22">
        <v>0</v>
      </c>
      <c r="E23" s="21">
        <f t="shared" si="0"/>
        <v>21.2</v>
      </c>
      <c r="F23" s="18">
        <f>'[2]Расчет ТБО'!$F$31</f>
        <v>21.2</v>
      </c>
      <c r="G23" s="23">
        <f>0</f>
        <v>0</v>
      </c>
      <c r="H23" s="21">
        <f t="shared" si="1"/>
        <v>21.2</v>
      </c>
      <c r="I23" s="18">
        <f>21.2</f>
        <v>21.2</v>
      </c>
      <c r="J23" s="23">
        <v>0</v>
      </c>
      <c r="K23" s="21">
        <f t="shared" si="2"/>
        <v>21.2</v>
      </c>
      <c r="L23" s="66">
        <f t="shared" si="3"/>
        <v>63.599999999999994</v>
      </c>
      <c r="M23" s="66">
        <f t="shared" si="4"/>
        <v>0</v>
      </c>
      <c r="N23" s="66">
        <f t="shared" si="5"/>
        <v>63.599999999999994</v>
      </c>
    </row>
    <row r="24" spans="1:14" ht="31.5">
      <c r="A24" s="14" t="s">
        <v>81</v>
      </c>
      <c r="B24" s="12" t="s">
        <v>58</v>
      </c>
      <c r="C24" s="22">
        <f>'[2]Расчет ТБО'!$E$32</f>
        <v>546.49</v>
      </c>
      <c r="D24" s="22">
        <f>'[2]Расчет ТБО'!$H$32+'[2]Расчет ТБО'!$I$32/2</f>
        <v>561.7917199999999</v>
      </c>
      <c r="E24" s="21">
        <f t="shared" si="0"/>
        <v>-15.301719999999932</v>
      </c>
      <c r="F24" s="18">
        <f>'[2]Расчет ТБО'!$F$32</f>
        <v>595.32</v>
      </c>
      <c r="G24" s="23">
        <f>'[2]Расчет ТБО'!$I$32/2+'[2]Расчет ТБО'!$J$32/2</f>
        <v>590.65513584</v>
      </c>
      <c r="H24" s="21">
        <f t="shared" si="1"/>
        <v>4.664864160000093</v>
      </c>
      <c r="I24" s="18">
        <f>'[2]Расчет ТБО'!$G$32</f>
        <v>624.69</v>
      </c>
      <c r="J24" s="23">
        <f>'[2]Расчет ТБО'!$J$32/2+'[2]Расчет ТБО'!$K$32</f>
        <v>618.4159272244799</v>
      </c>
      <c r="K24" s="21">
        <f t="shared" si="2"/>
        <v>6.274072775520153</v>
      </c>
      <c r="L24" s="66">
        <f t="shared" si="3"/>
        <v>1766.5</v>
      </c>
      <c r="M24" s="66">
        <f t="shared" si="4"/>
        <v>1770.8627830644798</v>
      </c>
      <c r="N24" s="66">
        <f t="shared" si="5"/>
        <v>-4.3627830644798</v>
      </c>
    </row>
    <row r="25" spans="1:14" ht="15.75">
      <c r="A25" s="14" t="s">
        <v>82</v>
      </c>
      <c r="B25" s="12" t="s">
        <v>59</v>
      </c>
      <c r="C25" s="22">
        <f>'[2]Расчет ТБО'!$E$33</f>
        <v>0.42</v>
      </c>
      <c r="D25" s="22">
        <v>0</v>
      </c>
      <c r="E25" s="21">
        <f t="shared" si="0"/>
        <v>0.42</v>
      </c>
      <c r="F25" s="18">
        <v>0.42</v>
      </c>
      <c r="G25" s="23">
        <f>0</f>
        <v>0</v>
      </c>
      <c r="H25" s="21">
        <f t="shared" si="1"/>
        <v>0.42</v>
      </c>
      <c r="I25" s="18">
        <f>0.42</f>
        <v>0.42</v>
      </c>
      <c r="J25" s="23">
        <v>0</v>
      </c>
      <c r="K25" s="21">
        <f t="shared" si="2"/>
        <v>0.42</v>
      </c>
      <c r="L25" s="66">
        <f t="shared" si="3"/>
        <v>1.26</v>
      </c>
      <c r="M25" s="66">
        <f t="shared" si="4"/>
        <v>0</v>
      </c>
      <c r="N25" s="66">
        <f t="shared" si="5"/>
        <v>1.26</v>
      </c>
    </row>
    <row r="26" spans="1:14" ht="31.5">
      <c r="A26" s="14" t="s">
        <v>83</v>
      </c>
      <c r="B26" s="12" t="s">
        <v>60</v>
      </c>
      <c r="C26" s="22">
        <f>'[2]Расчет ТБО'!$E$34</f>
        <v>61.5</v>
      </c>
      <c r="D26" s="22">
        <f>'[2]Расчет ТБО'!$H$34+'[2]Расчет ТБО'!$I$34/2</f>
        <v>63.222</v>
      </c>
      <c r="E26" s="21">
        <f t="shared" si="0"/>
        <v>-1.7220000000000013</v>
      </c>
      <c r="F26" s="18">
        <f>'[2]Расчет ТБО'!$F$34</f>
        <v>64.39</v>
      </c>
      <c r="G26" s="23">
        <f>'[2]Расчет ТБО'!$I$34/2+'[2]Расчет ТБО'!$J$34/2</f>
        <v>66.470184</v>
      </c>
      <c r="H26" s="21">
        <f t="shared" si="1"/>
        <v>-2.0801840000000027</v>
      </c>
      <c r="I26" s="18">
        <f>'[2]Расчет ТБО'!$G$34</f>
        <v>67.42</v>
      </c>
      <c r="J26" s="23">
        <f>'[2]Расчет ТБО'!$J$34/2+'[2]Расчет ТБО'!$K$34</f>
        <v>69.594282648</v>
      </c>
      <c r="K26" s="21">
        <f t="shared" si="2"/>
        <v>-2.174282648000002</v>
      </c>
      <c r="L26" s="66">
        <f t="shared" si="3"/>
        <v>193.31</v>
      </c>
      <c r="M26" s="66">
        <f t="shared" si="4"/>
        <v>199.286466648</v>
      </c>
      <c r="N26" s="66">
        <f t="shared" si="5"/>
        <v>-5.976466647999985</v>
      </c>
    </row>
    <row r="27" spans="1:14" ht="31.5">
      <c r="A27" s="14" t="s">
        <v>84</v>
      </c>
      <c r="B27" s="12" t="s">
        <v>61</v>
      </c>
      <c r="C27" s="22">
        <f>'[2]Расчет ТБО'!$E$35</f>
        <v>120.58</v>
      </c>
      <c r="D27" s="22">
        <f>'[2]Расчет ТБО'!$H$35+'[2]Расчет ТБО'!$I$35/2</f>
        <v>123.955</v>
      </c>
      <c r="E27" s="21">
        <f t="shared" si="0"/>
        <v>-3.375</v>
      </c>
      <c r="F27" s="18">
        <f>'[2]Расчет ТБО'!$F$35</f>
        <v>126.25</v>
      </c>
      <c r="G27" s="23">
        <f>'[2]Расчет ТБО'!$I$35/2+'[2]Расчет ТБО'!$J$35/2</f>
        <v>130.32</v>
      </c>
      <c r="H27" s="21">
        <f t="shared" si="1"/>
        <v>-4.069999999999993</v>
      </c>
      <c r="I27" s="18">
        <f>'[2]Расчет ТБО'!$G$35</f>
        <v>132.18</v>
      </c>
      <c r="J27" s="23">
        <f>'[2]Расчет ТБО'!$J$35/2+'[2]Расчет ТБО'!$K$35</f>
        <v>110.685</v>
      </c>
      <c r="K27" s="21">
        <f t="shared" si="2"/>
        <v>21.495000000000005</v>
      </c>
      <c r="L27" s="66">
        <f t="shared" si="3"/>
        <v>379.01</v>
      </c>
      <c r="M27" s="66">
        <f t="shared" si="4"/>
        <v>364.96</v>
      </c>
      <c r="N27" s="66">
        <f t="shared" si="5"/>
        <v>14.050000000000011</v>
      </c>
    </row>
    <row r="28" spans="1:14" ht="47.25">
      <c r="A28" s="14" t="s">
        <v>85</v>
      </c>
      <c r="B28" s="12" t="s">
        <v>68</v>
      </c>
      <c r="C28" s="22">
        <f>ROUND(C29+C31,2)</f>
        <v>693.02</v>
      </c>
      <c r="D28" s="22">
        <f>ROUND(D29+D31,2)</f>
        <v>1484.13</v>
      </c>
      <c r="E28" s="21">
        <f t="shared" si="0"/>
        <v>-791.1100000000001</v>
      </c>
      <c r="F28" s="18">
        <f>F29+F31</f>
        <v>725.5899999999999</v>
      </c>
      <c r="G28" s="18">
        <f>G29+G31</f>
        <v>1565.3728724088</v>
      </c>
      <c r="H28" s="21">
        <f t="shared" si="1"/>
        <v>-839.7828724088001</v>
      </c>
      <c r="I28" s="18">
        <f>ROUND(I29+I31,2)</f>
        <v>759.69</v>
      </c>
      <c r="J28" s="18">
        <f>ROUND(J29+J31,2)</f>
        <v>1638.95</v>
      </c>
      <c r="K28" s="21">
        <f t="shared" si="2"/>
        <v>-879.26</v>
      </c>
      <c r="L28" s="66">
        <f t="shared" si="3"/>
        <v>2178.3</v>
      </c>
      <c r="M28" s="66">
        <f t="shared" si="4"/>
        <v>4688.4528724088</v>
      </c>
      <c r="N28" s="66">
        <f t="shared" si="5"/>
        <v>-2510.1528724088002</v>
      </c>
    </row>
    <row r="29" spans="1:14" ht="31.5">
      <c r="A29" s="14" t="s">
        <v>86</v>
      </c>
      <c r="B29" s="12" t="s">
        <v>62</v>
      </c>
      <c r="C29" s="22">
        <f>'[2]Расчет ТБО'!$E$38</f>
        <v>532.27</v>
      </c>
      <c r="D29" s="22">
        <f>'[2]Расчет ТБО'!$H$38+'[2]Расчет ТБО'!$I$38/2</f>
        <v>1139.8804375139998</v>
      </c>
      <c r="E29" s="21">
        <f t="shared" si="0"/>
        <v>-607.6104375139998</v>
      </c>
      <c r="F29" s="18">
        <f>'[2]Расчет ТБО'!$F$38</f>
        <v>557.29</v>
      </c>
      <c r="G29" s="23">
        <f>'[2]Расчет ТБО'!$I$38/2+'[2]Расчет ТБО'!$J$38/2</f>
        <v>1202.2828724088</v>
      </c>
      <c r="H29" s="21">
        <f t="shared" si="1"/>
        <v>-644.9928724087999</v>
      </c>
      <c r="I29" s="18">
        <f>'[2]Расчет ТБО'!$G$38</f>
        <v>583.48</v>
      </c>
      <c r="J29" s="23">
        <f>'[2]Расчет ТБО'!$J$38/2+'[2]Расчет ТБО'!$K$38</f>
        <v>1258.7901674120135</v>
      </c>
      <c r="K29" s="21">
        <f t="shared" si="2"/>
        <v>-675.3101674120135</v>
      </c>
      <c r="L29" s="66">
        <f t="shared" si="3"/>
        <v>1673.04</v>
      </c>
      <c r="M29" s="66">
        <f t="shared" si="4"/>
        <v>3600.953477334813</v>
      </c>
      <c r="N29" s="66">
        <f t="shared" si="5"/>
        <v>-1927.9134773348133</v>
      </c>
    </row>
    <row r="30" spans="1:14" ht="31.5">
      <c r="A30" s="42" t="s">
        <v>87</v>
      </c>
      <c r="B30" s="12" t="s">
        <v>64</v>
      </c>
      <c r="C30" s="22">
        <f>'[2]Расчет ТБО'!$E$39</f>
        <v>1.7</v>
      </c>
      <c r="D30" s="22">
        <f>'[2]Расчет ТБО'!$H$39</f>
        <v>5.7</v>
      </c>
      <c r="E30" s="21">
        <f t="shared" si="0"/>
        <v>-4</v>
      </c>
      <c r="F30" s="18">
        <f>C30</f>
        <v>1.7</v>
      </c>
      <c r="G30" s="23">
        <f>D30</f>
        <v>5.7</v>
      </c>
      <c r="H30" s="21">
        <f t="shared" si="1"/>
        <v>-4</v>
      </c>
      <c r="I30" s="18">
        <f>1.7</f>
        <v>1.7</v>
      </c>
      <c r="J30" s="23">
        <f>D30</f>
        <v>5.7</v>
      </c>
      <c r="K30" s="21">
        <f t="shared" si="2"/>
        <v>-4</v>
      </c>
      <c r="L30" s="66">
        <f t="shared" si="3"/>
        <v>5.1</v>
      </c>
      <c r="M30" s="66">
        <f t="shared" si="4"/>
        <v>17.1</v>
      </c>
      <c r="N30" s="66">
        <f t="shared" si="5"/>
        <v>-12.000000000000002</v>
      </c>
    </row>
    <row r="31" spans="1:14" ht="31.5">
      <c r="A31" s="14" t="s">
        <v>88</v>
      </c>
      <c r="B31" s="13" t="s">
        <v>46</v>
      </c>
      <c r="C31" s="22">
        <f>'[2]Расчет ТБО'!$E$42</f>
        <v>160.75</v>
      </c>
      <c r="D31" s="22">
        <f>'[2]Расчет ТБО'!$H$42+'[2]Расчет ТБО'!$I$42/2</f>
        <v>344.245</v>
      </c>
      <c r="E31" s="21">
        <f t="shared" si="0"/>
        <v>-183.495</v>
      </c>
      <c r="F31" s="18">
        <f>'[2]Расчет ТБО'!$F$42</f>
        <v>168.3</v>
      </c>
      <c r="G31" s="23">
        <f>'[2]Расчет ТБО'!$I$42/2+'[2]Расчет ТБО'!$J$42/2</f>
        <v>363.09000000000003</v>
      </c>
      <c r="H31" s="21">
        <f t="shared" si="1"/>
        <v>-194.79000000000002</v>
      </c>
      <c r="I31" s="18">
        <f>'[2]Расчет ТБО'!$G$42</f>
        <v>176.21</v>
      </c>
      <c r="J31" s="23">
        <f>'[2]Расчет ТБО'!$J$42/2+'[2]Расчет ТБО'!$K$42</f>
        <v>380.155</v>
      </c>
      <c r="K31" s="21">
        <f t="shared" si="2"/>
        <v>-203.94499999999996</v>
      </c>
      <c r="L31" s="66">
        <f t="shared" si="3"/>
        <v>505.26</v>
      </c>
      <c r="M31" s="66">
        <f t="shared" si="4"/>
        <v>1087.49</v>
      </c>
      <c r="N31" s="66">
        <f t="shared" si="5"/>
        <v>-582.23</v>
      </c>
    </row>
    <row r="32" spans="1:14" ht="47.25">
      <c r="A32" s="14" t="s">
        <v>89</v>
      </c>
      <c r="B32" s="13" t="s">
        <v>69</v>
      </c>
      <c r="C32" s="22">
        <f>ROUND(C33+C34,2)</f>
        <v>500.25</v>
      </c>
      <c r="D32" s="22">
        <f>ROUND(D33+D34,2)</f>
        <v>516.02</v>
      </c>
      <c r="E32" s="21">
        <f t="shared" si="0"/>
        <v>-15.769999999999982</v>
      </c>
      <c r="F32" s="18">
        <f>ROUND(F33+F34,2)</f>
        <v>523.77</v>
      </c>
      <c r="G32" s="18">
        <f>ROUND(G33+G34,2)</f>
        <v>544.28</v>
      </c>
      <c r="H32" s="21">
        <f t="shared" si="1"/>
        <v>-20.50999999999999</v>
      </c>
      <c r="I32" s="18">
        <f>ROUND(I33+I34,2)</f>
        <v>548.39</v>
      </c>
      <c r="J32" s="18">
        <f>ROUND(J33+J34,2)</f>
        <v>569.86</v>
      </c>
      <c r="K32" s="21">
        <f t="shared" si="2"/>
        <v>-21.470000000000027</v>
      </c>
      <c r="L32" s="66">
        <f t="shared" si="3"/>
        <v>1572.4099999999999</v>
      </c>
      <c r="M32" s="66">
        <f t="shared" si="4"/>
        <v>1630.1599999999999</v>
      </c>
      <c r="N32" s="66">
        <f t="shared" si="5"/>
        <v>-57.75</v>
      </c>
    </row>
    <row r="33" spans="1:14" ht="63">
      <c r="A33" s="14" t="s">
        <v>90</v>
      </c>
      <c r="B33" s="12" t="s">
        <v>63</v>
      </c>
      <c r="C33" s="22">
        <f>'[2]Расчет ТБО'!$E$45</f>
        <v>384.22</v>
      </c>
      <c r="D33" s="22">
        <f>'[2]Расчет ТБО'!$H$45+'[2]Расчет ТБО'!$I$45/2</f>
        <v>396.32500000000005</v>
      </c>
      <c r="E33" s="21">
        <f t="shared" si="0"/>
        <v>-12.105000000000018</v>
      </c>
      <c r="F33" s="18">
        <f>'[2]Расчет ТБО'!$F$45</f>
        <v>402.28</v>
      </c>
      <c r="G33" s="23">
        <f>'[2]Расчет ТБО'!$I$45/2+'[2]Расчет ТБО'!$J$45/2</f>
        <v>418.03</v>
      </c>
      <c r="H33" s="21">
        <f t="shared" si="1"/>
        <v>-15.75</v>
      </c>
      <c r="I33" s="18">
        <f>'[2]Расчет ТБО'!$G$45</f>
        <v>421.19</v>
      </c>
      <c r="J33" s="23">
        <f>'[2]Расчет ТБО'!$J$45/2+'[2]Расчет ТБО'!$K$45</f>
        <v>437.675</v>
      </c>
      <c r="K33" s="21">
        <f t="shared" si="2"/>
        <v>-16.485000000000014</v>
      </c>
      <c r="L33" s="66">
        <f t="shared" si="3"/>
        <v>1207.69</v>
      </c>
      <c r="M33" s="66">
        <f t="shared" si="4"/>
        <v>1252.03</v>
      </c>
      <c r="N33" s="66">
        <f t="shared" si="5"/>
        <v>-44.33999999999992</v>
      </c>
    </row>
    <row r="34" spans="1:14" ht="31.5">
      <c r="A34" s="14" t="s">
        <v>91</v>
      </c>
      <c r="B34" s="13" t="s">
        <v>46</v>
      </c>
      <c r="C34" s="22">
        <f>'[2]Расчет ТБО'!$E$48</f>
        <v>116.03</v>
      </c>
      <c r="D34" s="22">
        <f>'[2]Расчет ТБО'!$H$48+'[2]Расчет ТБО'!$I$48/2</f>
        <v>119.695</v>
      </c>
      <c r="E34" s="21">
        <f t="shared" si="0"/>
        <v>-3.664999999999992</v>
      </c>
      <c r="F34" s="18">
        <f>'[2]Расчет ТБО'!$F$48</f>
        <v>121.49</v>
      </c>
      <c r="G34" s="23">
        <f>'[2]Расчет ТБО'!$I$48/2+'[2]Расчет ТБО'!$J$48/2</f>
        <v>126.24499999999999</v>
      </c>
      <c r="H34" s="21">
        <f t="shared" si="1"/>
        <v>-4.7549999999999955</v>
      </c>
      <c r="I34" s="18">
        <f>'[2]Расчет ТБО'!$G$48</f>
        <v>127.2</v>
      </c>
      <c r="J34" s="23">
        <f>'[2]Расчет ТБО'!$J$48/2+'[2]Расчет ТБО'!$K$48</f>
        <v>132.18</v>
      </c>
      <c r="K34" s="21">
        <f t="shared" si="2"/>
        <v>-4.980000000000004</v>
      </c>
      <c r="L34" s="66">
        <f t="shared" si="3"/>
        <v>364.71999999999997</v>
      </c>
      <c r="M34" s="66">
        <f t="shared" si="4"/>
        <v>378.12</v>
      </c>
      <c r="N34" s="66">
        <f t="shared" si="5"/>
        <v>-13.400000000000034</v>
      </c>
    </row>
    <row r="35" spans="1:14" ht="63">
      <c r="A35" s="14"/>
      <c r="B35" s="13" t="s">
        <v>92</v>
      </c>
      <c r="C35" s="22">
        <f>C12+C13+C15+C16+C21+C28+C32</f>
        <v>7526.300000000001</v>
      </c>
      <c r="D35" s="22">
        <f>D12+D13+D15+D16+D21+D28+D32</f>
        <v>7255.270729738</v>
      </c>
      <c r="E35" s="22">
        <f>E12+E13+E15+E16+E21+E28+E32</f>
        <v>271.0292702619997</v>
      </c>
      <c r="F35" s="22">
        <f>F12+F13+F15+F16+F21+F28+F32</f>
        <v>7904.85</v>
      </c>
      <c r="G35" s="22">
        <f>G12+G13+G15+G16+G21+G28+G32</f>
        <v>7614.5178297584</v>
      </c>
      <c r="H35" s="22">
        <f>H12+H13+H15+H16+H21+H28+H32</f>
        <v>290.33217024159967</v>
      </c>
      <c r="I35" s="22">
        <f>I12+I13+I15+I16+I21+I28+I32</f>
        <v>8276.75</v>
      </c>
      <c r="J35" s="22">
        <f>J12+J13+J15+J16+J21+J28+J32</f>
        <v>7946.6544527669885</v>
      </c>
      <c r="K35" s="22">
        <f>K12+K13+K15+K16+K21+K28+K32</f>
        <v>330.095547233012</v>
      </c>
      <c r="L35" s="66">
        <f t="shared" si="3"/>
        <v>23707.9</v>
      </c>
      <c r="M35" s="66">
        <f t="shared" si="4"/>
        <v>22816.443012263386</v>
      </c>
      <c r="N35" s="66">
        <f t="shared" si="5"/>
        <v>891.4569877366157</v>
      </c>
    </row>
    <row r="36" spans="1:14" ht="31.5">
      <c r="A36" s="14" t="s">
        <v>34</v>
      </c>
      <c r="B36" s="13" t="s">
        <v>94</v>
      </c>
      <c r="C36" s="22"/>
      <c r="D36" s="22"/>
      <c r="E36" s="63"/>
      <c r="F36" s="63"/>
      <c r="G36" s="63"/>
      <c r="H36" s="63"/>
      <c r="I36" s="63"/>
      <c r="J36" s="63"/>
      <c r="K36" s="63"/>
      <c r="L36" s="66"/>
      <c r="M36" s="66"/>
      <c r="N36" s="66"/>
    </row>
    <row r="37" spans="1:14" ht="92.25" customHeight="1">
      <c r="A37" s="14" t="s">
        <v>48</v>
      </c>
      <c r="B37" s="13" t="s">
        <v>93</v>
      </c>
      <c r="C37" s="22">
        <f>190.55</f>
        <v>190.55</v>
      </c>
      <c r="D37" s="22">
        <f>142.93</f>
        <v>142.93</v>
      </c>
      <c r="E37" s="21">
        <f>47.62</f>
        <v>47.62</v>
      </c>
      <c r="F37" s="18">
        <f>197.62</f>
        <v>197.62</v>
      </c>
      <c r="G37" s="23">
        <f>77.78</f>
        <v>77.78</v>
      </c>
      <c r="H37" s="21">
        <f>119.84</f>
        <v>119.84</v>
      </c>
      <c r="I37" s="18">
        <f>206.92</f>
        <v>206.92</v>
      </c>
      <c r="J37" s="23">
        <f>19.14</f>
        <v>19.14</v>
      </c>
      <c r="K37" s="21">
        <f>187.78</f>
        <v>187.78</v>
      </c>
      <c r="L37" s="66">
        <f t="shared" si="3"/>
        <v>595.09</v>
      </c>
      <c r="M37" s="66">
        <f t="shared" si="4"/>
        <v>239.85000000000002</v>
      </c>
      <c r="N37" s="66">
        <f t="shared" si="5"/>
        <v>355.24</v>
      </c>
    </row>
    <row r="38" spans="1:14" ht="31.5">
      <c r="A38" s="14" t="s">
        <v>97</v>
      </c>
      <c r="B38" s="13" t="s">
        <v>96</v>
      </c>
      <c r="C38" s="22"/>
      <c r="D38" s="22"/>
      <c r="E38" s="21"/>
      <c r="F38" s="18"/>
      <c r="G38" s="23"/>
      <c r="H38" s="21"/>
      <c r="I38" s="18"/>
      <c r="J38" s="23"/>
      <c r="K38" s="21"/>
      <c r="L38" s="66"/>
      <c r="M38" s="66"/>
      <c r="N38" s="66"/>
    </row>
    <row r="39" spans="1:14" ht="94.5">
      <c r="A39" s="42" t="s">
        <v>98</v>
      </c>
      <c r="B39" s="61" t="s">
        <v>95</v>
      </c>
      <c r="C39" s="22">
        <f>38.11</f>
        <v>38.11</v>
      </c>
      <c r="D39" s="22">
        <f>35.73</f>
        <v>35.73</v>
      </c>
      <c r="E39" s="21">
        <f>2.38</f>
        <v>2.38</v>
      </c>
      <c r="F39" s="18">
        <f>39.53</f>
        <v>39.53</v>
      </c>
      <c r="G39" s="23">
        <f>19.45</f>
        <v>19.45</v>
      </c>
      <c r="H39" s="21">
        <f>20.08</f>
        <v>20.08</v>
      </c>
      <c r="I39" s="18">
        <f>41.38</f>
        <v>41.38</v>
      </c>
      <c r="J39" s="23">
        <f>4.79</f>
        <v>4.79</v>
      </c>
      <c r="K39" s="21">
        <f>36.59</f>
        <v>36.59</v>
      </c>
      <c r="L39" s="66">
        <f t="shared" si="3"/>
        <v>119.02000000000001</v>
      </c>
      <c r="M39" s="66">
        <f t="shared" si="4"/>
        <v>59.96999999999999</v>
      </c>
      <c r="N39" s="66">
        <f t="shared" si="5"/>
        <v>59.05000000000002</v>
      </c>
    </row>
    <row r="40" spans="1:14" ht="47.25">
      <c r="A40" s="17"/>
      <c r="B40" s="12" t="s">
        <v>99</v>
      </c>
      <c r="C40" s="22">
        <f>C37+C39</f>
        <v>228.66000000000003</v>
      </c>
      <c r="D40" s="22">
        <f aca="true" t="shared" si="6" ref="D40:K40">D37+D39</f>
        <v>178.66</v>
      </c>
      <c r="E40" s="22">
        <f t="shared" si="6"/>
        <v>50</v>
      </c>
      <c r="F40" s="22">
        <f t="shared" si="6"/>
        <v>237.15</v>
      </c>
      <c r="G40" s="22">
        <f t="shared" si="6"/>
        <v>97.23</v>
      </c>
      <c r="H40" s="22">
        <f t="shared" si="6"/>
        <v>139.92000000000002</v>
      </c>
      <c r="I40" s="22">
        <f t="shared" si="6"/>
        <v>248.29999999999998</v>
      </c>
      <c r="J40" s="22">
        <f t="shared" si="6"/>
        <v>23.93</v>
      </c>
      <c r="K40" s="22">
        <f t="shared" si="6"/>
        <v>224.37</v>
      </c>
      <c r="L40" s="66">
        <f t="shared" si="3"/>
        <v>714.11</v>
      </c>
      <c r="M40" s="66">
        <f t="shared" si="4"/>
        <v>299.82</v>
      </c>
      <c r="N40" s="66">
        <f t="shared" si="5"/>
        <v>414.29</v>
      </c>
    </row>
    <row r="41" spans="1:14" ht="126">
      <c r="A41" s="65" t="s">
        <v>100</v>
      </c>
      <c r="B41" s="13" t="s">
        <v>101</v>
      </c>
      <c r="C41" s="66">
        <f>C35+C40</f>
        <v>7754.960000000001</v>
      </c>
      <c r="D41" s="66">
        <f aca="true" t="shared" si="7" ref="D41:K41">D35+D40</f>
        <v>7433.930729738</v>
      </c>
      <c r="E41" s="66">
        <f t="shared" si="7"/>
        <v>321.0292702619997</v>
      </c>
      <c r="F41" s="66">
        <f t="shared" si="7"/>
        <v>8142</v>
      </c>
      <c r="G41" s="66">
        <v>7711.74</v>
      </c>
      <c r="H41" s="66">
        <f t="shared" si="7"/>
        <v>430.2521702415997</v>
      </c>
      <c r="I41" s="66">
        <f t="shared" si="7"/>
        <v>8525.05</v>
      </c>
      <c r="J41" s="66">
        <v>7970.57</v>
      </c>
      <c r="K41" s="66">
        <f t="shared" si="7"/>
        <v>554.465547233012</v>
      </c>
      <c r="L41" s="66">
        <f t="shared" si="3"/>
        <v>24422.010000000002</v>
      </c>
      <c r="M41" s="66">
        <f t="shared" si="4"/>
        <v>23116.240729737998</v>
      </c>
      <c r="N41" s="66">
        <f t="shared" si="5"/>
        <v>1305.7692702620043</v>
      </c>
    </row>
  </sheetData>
  <sheetProtection/>
  <mergeCells count="10">
    <mergeCell ref="L7:N7"/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Layout" workbookViewId="0" topLeftCell="A9">
      <selection activeCell="A1" sqref="A1:I15"/>
    </sheetView>
  </sheetViews>
  <sheetFormatPr defaultColWidth="9.140625" defaultRowHeight="12.75"/>
  <cols>
    <col min="1" max="1" width="4.28125" style="26" customWidth="1"/>
    <col min="2" max="2" width="30.28125" style="26" customWidth="1"/>
    <col min="3" max="9" width="13.00390625" style="26" customWidth="1"/>
    <col min="10" max="16384" width="9.140625" style="26" customWidth="1"/>
  </cols>
  <sheetData>
    <row r="1" spans="6:12" ht="57.75" customHeight="1">
      <c r="F1" s="27"/>
      <c r="G1" s="53" t="s">
        <v>51</v>
      </c>
      <c r="H1" s="57"/>
      <c r="I1" s="57"/>
      <c r="J1" s="28"/>
      <c r="K1" s="28"/>
      <c r="L1" s="28"/>
    </row>
    <row r="3" spans="1:12" ht="49.5" customHeight="1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29"/>
      <c r="K3" s="29"/>
      <c r="L3" s="29"/>
    </row>
    <row r="5" spans="1:9" s="30" customFormat="1" ht="50.25" customHeight="1">
      <c r="A5" s="59" t="s">
        <v>6</v>
      </c>
      <c r="B5" s="59" t="s">
        <v>11</v>
      </c>
      <c r="C5" s="59" t="s">
        <v>8</v>
      </c>
      <c r="D5" s="59" t="s">
        <v>26</v>
      </c>
      <c r="E5" s="59"/>
      <c r="F5" s="59"/>
      <c r="G5" s="59"/>
      <c r="H5" s="59"/>
      <c r="I5" s="59"/>
    </row>
    <row r="6" spans="1:9" s="30" customFormat="1" ht="55.5" customHeight="1">
      <c r="A6" s="59"/>
      <c r="B6" s="59"/>
      <c r="C6" s="59"/>
      <c r="D6" s="31" t="s">
        <v>27</v>
      </c>
      <c r="E6" s="31" t="s">
        <v>28</v>
      </c>
      <c r="F6" s="31" t="s">
        <v>29</v>
      </c>
      <c r="G6" s="31" t="s">
        <v>30</v>
      </c>
      <c r="H6" s="11" t="s">
        <v>31</v>
      </c>
      <c r="I6" s="11" t="s">
        <v>32</v>
      </c>
    </row>
    <row r="7" spans="1:9" s="30" customFormat="1" ht="15.75">
      <c r="A7" s="25">
        <v>1</v>
      </c>
      <c r="B7" s="25">
        <v>2</v>
      </c>
      <c r="C7" s="25">
        <v>3</v>
      </c>
      <c r="D7" s="32">
        <v>4</v>
      </c>
      <c r="E7" s="32">
        <v>5</v>
      </c>
      <c r="F7" s="32">
        <v>6</v>
      </c>
      <c r="G7" s="32">
        <v>7</v>
      </c>
      <c r="H7" s="33"/>
      <c r="I7" s="33"/>
    </row>
    <row r="8" spans="1:9" s="30" customFormat="1" ht="52.5" customHeight="1">
      <c r="A8" s="25" t="s">
        <v>33</v>
      </c>
      <c r="B8" s="24" t="s">
        <v>12</v>
      </c>
      <c r="C8" s="25" t="s">
        <v>13</v>
      </c>
      <c r="D8" s="34">
        <v>63.59</v>
      </c>
      <c r="E8" s="34">
        <v>66.26</v>
      </c>
      <c r="F8" s="32">
        <v>66.26</v>
      </c>
      <c r="G8" s="35">
        <v>68.45</v>
      </c>
      <c r="H8" s="32">
        <v>68.45</v>
      </c>
      <c r="I8" s="32">
        <v>70.78</v>
      </c>
    </row>
    <row r="9" spans="1:9" ht="52.5" customHeight="1">
      <c r="A9" s="25" t="s">
        <v>34</v>
      </c>
      <c r="B9" s="24" t="s">
        <v>14</v>
      </c>
      <c r="C9" s="25" t="s">
        <v>13</v>
      </c>
      <c r="D9" s="34">
        <v>75.03</v>
      </c>
      <c r="E9" s="32">
        <v>78.19</v>
      </c>
      <c r="F9" s="32">
        <v>78.19</v>
      </c>
      <c r="G9" s="35">
        <v>80.77</v>
      </c>
      <c r="H9" s="36">
        <v>80.77</v>
      </c>
      <c r="I9" s="36">
        <v>83.52</v>
      </c>
    </row>
    <row r="11" spans="1:9" ht="56.25" customHeight="1">
      <c r="A11" s="56"/>
      <c r="B11" s="56"/>
      <c r="C11" s="56"/>
      <c r="D11" s="56"/>
      <c r="E11" s="56"/>
      <c r="F11" s="56"/>
      <c r="G11" s="56"/>
      <c r="H11" s="56"/>
      <c r="I11" s="56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2013-11-05T04:03:15Z</cp:lastPrinted>
  <dcterms:created xsi:type="dcterms:W3CDTF">1996-10-08T23:32:33Z</dcterms:created>
  <dcterms:modified xsi:type="dcterms:W3CDTF">2013-11-06T08:57:28Z</dcterms:modified>
  <cp:category/>
  <cp:version/>
  <cp:contentType/>
  <cp:contentStatus/>
</cp:coreProperties>
</file>